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ab15\Desktop\"/>
    </mc:Choice>
  </mc:AlternateContent>
  <bookViews>
    <workbookView xWindow="0" yWindow="0" windowWidth="19200" windowHeight="12180"/>
  </bookViews>
  <sheets>
    <sheet name="Thermal Storage" sheetId="1" r:id="rId1"/>
  </sheets>
  <definedNames>
    <definedName name="calu">'Thermal Storage'!$H$11</definedName>
    <definedName name="ccconcrete">'Thermal Storage'!$I$11</definedName>
    <definedName name="cconcrete">'Thermal Storage'!$I$11</definedName>
    <definedName name="cgranite">'Thermal Storage'!$J$11</definedName>
    <definedName name="changeoft">'Thermal Storage'!$C$13</definedName>
    <definedName name="cmoltensalt">'Thermal Storage'!$K$11</definedName>
    <definedName name="cwater">'Thermal Storage'!$G$11</definedName>
    <definedName name="height">'Thermal Storage'!$C$19</definedName>
    <definedName name="height1">'Thermal Storage'!$B$19</definedName>
    <definedName name="lenght1">'Thermal Storage'!$B$17</definedName>
    <definedName name="length">'Thermal Storage'!$C$17</definedName>
    <definedName name="length1">'Thermal Storage'!$B$17</definedName>
    <definedName name="malu">'Thermal Storage'!$H$8</definedName>
    <definedName name="mwater">'Thermal Storage'!$G$8</definedName>
    <definedName name="thickness">'Thermal Storage'!$C$20</definedName>
    <definedName name="thickness1">'Thermal Storage'!$B$20</definedName>
    <definedName name="volume">'Thermal Storage'!$B$24</definedName>
    <definedName name="volume1">'Thermal Storage'!$A$24</definedName>
    <definedName name="width">'Thermal Storage'!$C$18</definedName>
    <definedName name="width1">'Thermal Storage'!$B$18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G35" i="1"/>
  <c r="G36" i="1"/>
  <c r="G37" i="1"/>
  <c r="G38" i="1"/>
  <c r="G39" i="1"/>
  <c r="G40" i="1"/>
  <c r="G33" i="1"/>
  <c r="X6" i="1"/>
  <c r="X7" i="1"/>
  <c r="X8" i="1"/>
  <c r="X9" i="1"/>
  <c r="X10" i="1"/>
  <c r="X11" i="1"/>
  <c r="X12" i="1"/>
  <c r="X13" i="1"/>
  <c r="X14" i="1"/>
  <c r="X15" i="1"/>
  <c r="X16" i="1"/>
  <c r="X5" i="1"/>
  <c r="W6" i="1"/>
  <c r="W7" i="1"/>
  <c r="W8" i="1"/>
  <c r="W9" i="1"/>
  <c r="W10" i="1"/>
  <c r="W11" i="1"/>
  <c r="W12" i="1"/>
  <c r="W13" i="1"/>
  <c r="W14" i="1"/>
  <c r="W15" i="1"/>
  <c r="W16" i="1"/>
  <c r="W5" i="1"/>
  <c r="V6" i="1"/>
  <c r="V7" i="1"/>
  <c r="V8" i="1"/>
  <c r="V9" i="1"/>
  <c r="V10" i="1"/>
  <c r="V11" i="1"/>
  <c r="V12" i="1"/>
  <c r="V13" i="1"/>
  <c r="V14" i="1"/>
  <c r="V15" i="1"/>
  <c r="V16" i="1"/>
  <c r="V5" i="1"/>
  <c r="U6" i="1"/>
  <c r="U7" i="1"/>
  <c r="U8" i="1"/>
  <c r="U9" i="1"/>
  <c r="U10" i="1"/>
  <c r="U11" i="1"/>
  <c r="U12" i="1"/>
  <c r="U13" i="1"/>
  <c r="U14" i="1"/>
  <c r="U15" i="1"/>
  <c r="U16" i="1"/>
  <c r="U5" i="1"/>
  <c r="T6" i="1"/>
  <c r="T7" i="1"/>
  <c r="T8" i="1"/>
  <c r="T9" i="1"/>
  <c r="T10" i="1"/>
  <c r="T11" i="1"/>
  <c r="T12" i="1"/>
  <c r="T13" i="1"/>
  <c r="T14" i="1"/>
  <c r="T15" i="1"/>
  <c r="T16" i="1"/>
  <c r="T5" i="1"/>
  <c r="S6" i="1"/>
  <c r="S7" i="1"/>
  <c r="S8" i="1"/>
  <c r="S9" i="1"/>
  <c r="S10" i="1"/>
  <c r="S11" i="1"/>
  <c r="S12" i="1"/>
  <c r="S13" i="1"/>
  <c r="S14" i="1"/>
  <c r="S15" i="1"/>
  <c r="S16" i="1"/>
  <c r="S5" i="1"/>
  <c r="A27" i="1" l="1"/>
  <c r="G11" i="1" l="1"/>
  <c r="B20" i="1"/>
  <c r="G9" i="1"/>
  <c r="G6" i="1" s="1"/>
  <c r="G5" i="1"/>
  <c r="J5" i="1"/>
  <c r="K5" i="1"/>
  <c r="J9" i="1"/>
  <c r="J6" i="1" s="1"/>
  <c r="K9" i="1"/>
  <c r="K6" i="1" s="1"/>
  <c r="I9" i="1"/>
  <c r="I6" i="1" s="1"/>
  <c r="I5" i="1"/>
  <c r="C19" i="1"/>
  <c r="C18" i="1"/>
  <c r="C17" i="1"/>
  <c r="C20" i="1"/>
  <c r="B13" i="1"/>
  <c r="C12" i="1"/>
  <c r="C11" i="1"/>
  <c r="G20" i="1" l="1"/>
  <c r="B24" i="1"/>
  <c r="A24" i="1"/>
  <c r="H6" i="1" s="1"/>
  <c r="C13" i="1"/>
  <c r="H9" i="1" l="1"/>
  <c r="H8" i="1"/>
  <c r="G21" i="1" l="1"/>
  <c r="H5" i="1"/>
  <c r="Q6" i="1" l="1"/>
  <c r="Q5" i="1"/>
  <c r="Q10" i="1"/>
  <c r="Q7" i="1"/>
  <c r="Q16" i="1"/>
  <c r="Q14" i="1"/>
  <c r="Q11" i="1"/>
  <c r="Q9" i="1"/>
  <c r="Q12" i="1"/>
  <c r="Q15" i="1"/>
  <c r="Q13" i="1"/>
  <c r="Q8" i="1"/>
  <c r="G22" i="1"/>
  <c r="F29" i="1" s="1"/>
  <c r="P6" i="1"/>
  <c r="P16" i="1"/>
  <c r="P7" i="1"/>
  <c r="P14" i="1"/>
  <c r="P13" i="1"/>
  <c r="P8" i="1"/>
  <c r="P5" i="1"/>
  <c r="P12" i="1"/>
  <c r="P10" i="1"/>
  <c r="P9" i="1"/>
  <c r="P11" i="1"/>
  <c r="P15" i="1"/>
</calcChain>
</file>

<file path=xl/sharedStrings.xml><?xml version="1.0" encoding="utf-8"?>
<sst xmlns="http://schemas.openxmlformats.org/spreadsheetml/2006/main" count="78" uniqueCount="59">
  <si>
    <t>Thermal Storage Calculations</t>
  </si>
  <si>
    <t>governing equation=</t>
  </si>
  <si>
    <t>Variables</t>
  </si>
  <si>
    <t>mass</t>
  </si>
  <si>
    <t>specific heat</t>
  </si>
  <si>
    <t>temperature</t>
  </si>
  <si>
    <t>Desired Temp.</t>
  </si>
  <si>
    <t>Starting Temp.</t>
  </si>
  <si>
    <t>F</t>
  </si>
  <si>
    <t>C</t>
  </si>
  <si>
    <t>ΔT</t>
  </si>
  <si>
    <t>Mass</t>
  </si>
  <si>
    <t>Density</t>
  </si>
  <si>
    <t>Volume</t>
  </si>
  <si>
    <t>gram</t>
  </si>
  <si>
    <t>lbs</t>
  </si>
  <si>
    <t>g/m^3</t>
  </si>
  <si>
    <t>m^3</t>
  </si>
  <si>
    <t>in^3</t>
  </si>
  <si>
    <t>Concrete</t>
  </si>
  <si>
    <t>Granite</t>
  </si>
  <si>
    <t>Water</t>
  </si>
  <si>
    <t>Length</t>
  </si>
  <si>
    <t>Width</t>
  </si>
  <si>
    <t>Thickness</t>
  </si>
  <si>
    <t>in</t>
  </si>
  <si>
    <t>m</t>
  </si>
  <si>
    <t>Aluminum</t>
  </si>
  <si>
    <t>Height</t>
  </si>
  <si>
    <t xml:space="preserve">Volume </t>
  </si>
  <si>
    <t>Metric</t>
  </si>
  <si>
    <t>English</t>
  </si>
  <si>
    <t>Molten Salt</t>
  </si>
  <si>
    <t>Oven Dimensions (Aluminum)</t>
  </si>
  <si>
    <t>Units</t>
  </si>
  <si>
    <t>-</t>
  </si>
  <si>
    <t>"Aluminum calculations are based on the size of our steel oven"</t>
  </si>
  <si>
    <t>"Rest of materials will be calculated as a thermal storage"</t>
  </si>
  <si>
    <t>Material Properties</t>
  </si>
  <si>
    <t>Specific Heat</t>
  </si>
  <si>
    <r>
      <t>mc</t>
    </r>
    <r>
      <rPr>
        <sz val="11"/>
        <color theme="1"/>
        <rFont val="Calibri"/>
        <family val="2"/>
      </rPr>
      <t>ΔT</t>
    </r>
  </si>
  <si>
    <t>Target Energy</t>
  </si>
  <si>
    <t>Notes:</t>
  </si>
  <si>
    <t>Notes For Material Properties:</t>
  </si>
  <si>
    <t>"Based on water reaching 100 degC"</t>
  </si>
  <si>
    <t>"Takes into account of oven itself"</t>
  </si>
  <si>
    <t>Joules</t>
  </si>
  <si>
    <t>Total</t>
  </si>
  <si>
    <t>"Water calculations are based on 1 liter which is our goal for reaching 100 degC"</t>
  </si>
  <si>
    <t>Time (mins)</t>
  </si>
  <si>
    <t>10mins of 100W=</t>
  </si>
  <si>
    <t>J</t>
  </si>
  <si>
    <t>Therefore</t>
  </si>
  <si>
    <t xml:space="preserve">" Energy need after 10mins is (target energy-10minsof100W)" </t>
  </si>
  <si>
    <t>Accounts for Heat loss</t>
  </si>
  <si>
    <t>Heat Loss (W)</t>
  </si>
  <si>
    <t>Energy at 212 degF</t>
  </si>
  <si>
    <t>Mass (lbs)</t>
  </si>
  <si>
    <t>Energy at 350F  (kJ)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</si>
</sst>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4" xfId="0" applyBorder="1"/>
    <xf numFmtId="0" fontId="0" fillId="0" borderId="5" xfId="0" applyBorder="1"/>
    <xf numFmtId="1" fontId="0" fillId="0" borderId="0" xfId="0" applyNumberFormat="1"/>
    <xf numFmtId="0" fontId="0" fillId="0" borderId="5" xfId="0" applyBorder="1" applyAlignment="1">
      <alignment horizontal="center"/>
    </xf>
    <xf numFmtId="0" fontId="0" fillId="0" borderId="0" xfId="0" applyFill="1" applyBorder="1"/>
    <xf numFmtId="0" fontId="0" fillId="0" borderId="5" xfId="0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4" fillId="4" borderId="5" xfId="0" quotePrefix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6" fillId="6" borderId="5" xfId="0" quotePrefix="1" applyFont="1" applyFill="1" applyBorder="1" applyAlignment="1">
      <alignment horizontal="center" vertical="center"/>
    </xf>
    <xf numFmtId="0" fontId="0" fillId="0" borderId="5" xfId="0" quotePrefix="1" applyBorder="1"/>
    <xf numFmtId="0" fontId="0" fillId="0" borderId="6" xfId="0" applyFill="1" applyBorder="1"/>
    <xf numFmtId="0" fontId="0" fillId="0" borderId="8" xfId="0" applyBorder="1"/>
    <xf numFmtId="0" fontId="4" fillId="2" borderId="1" xfId="0" applyFont="1" applyFill="1" applyBorder="1"/>
    <xf numFmtId="0" fontId="0" fillId="0" borderId="0" xfId="0" applyAlignment="1">
      <alignment horizontal="left"/>
    </xf>
    <xf numFmtId="2" fontId="0" fillId="0" borderId="0" xfId="0" applyNumberFormat="1"/>
    <xf numFmtId="0" fontId="1" fillId="0" borderId="0" xfId="0" applyFont="1"/>
    <xf numFmtId="0" fontId="0" fillId="0" borderId="0" xfId="0" applyAlignment="1">
      <alignment horizontal="center" vertical="center"/>
    </xf>
    <xf numFmtId="1" fontId="7" fillId="7" borderId="0" xfId="0" applyNumberFormat="1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5" fillId="5" borderId="6" xfId="0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56714785651792"/>
          <c:y val="5.0925925925925923E-2"/>
          <c:w val="0.71272681539807525"/>
          <c:h val="0.83146617089530472"/>
        </c:manualLayout>
      </c:layout>
      <c:scatterChart>
        <c:scatterStyle val="lineMarker"/>
        <c:varyColors val="0"/>
        <c:ser>
          <c:idx val="1"/>
          <c:order val="0"/>
          <c:tx>
            <c:strRef>
              <c:f>'Thermal Storage'!$S$4</c:f>
              <c:strCache>
                <c:ptCount val="1"/>
                <c:pt idx="0">
                  <c:v>Concrete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'Thermal Storage'!$O$5:$O$16</c:f>
              <c:numCache>
                <c:formatCode>General</c:formatCode>
                <c:ptCount val="12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</c:numCache>
            </c:numRef>
          </c:xVal>
          <c:yVal>
            <c:numRef>
              <c:f>'Thermal Storage'!$V$5:$V$16</c:f>
              <c:numCache>
                <c:formatCode>0.00</c:formatCode>
                <c:ptCount val="12"/>
                <c:pt idx="0">
                  <c:v>6.8757444057735224</c:v>
                </c:pt>
                <c:pt idx="1">
                  <c:v>12.522311483962822</c:v>
                </c:pt>
                <c:pt idx="2">
                  <c:v>18.16887856215212</c:v>
                </c:pt>
                <c:pt idx="3">
                  <c:v>23.815445640341423</c:v>
                </c:pt>
                <c:pt idx="4">
                  <c:v>29.462012718530723</c:v>
                </c:pt>
                <c:pt idx="5">
                  <c:v>35.108579796720022</c:v>
                </c:pt>
                <c:pt idx="6">
                  <c:v>40.755146874909329</c:v>
                </c:pt>
                <c:pt idx="7">
                  <c:v>46.401713953098621</c:v>
                </c:pt>
                <c:pt idx="8">
                  <c:v>52.048281031287914</c:v>
                </c:pt>
                <c:pt idx="9">
                  <c:v>57.694848109477213</c:v>
                </c:pt>
                <c:pt idx="10">
                  <c:v>63.341415187666527</c:v>
                </c:pt>
                <c:pt idx="11">
                  <c:v>68.987982265855791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'Thermal Storage'!$W$4</c:f>
              <c:strCache>
                <c:ptCount val="1"/>
                <c:pt idx="0">
                  <c:v>Granite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'Thermal Storage'!$O$5:$O$16</c:f>
              <c:numCache>
                <c:formatCode>General</c:formatCode>
                <c:ptCount val="12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</c:numCache>
            </c:numRef>
          </c:xVal>
          <c:yVal>
            <c:numRef>
              <c:f>'Thermal Storage'!$W$5:$W$16</c:f>
              <c:numCache>
                <c:formatCode>0.00</c:formatCode>
                <c:ptCount val="12"/>
                <c:pt idx="0">
                  <c:v>6.298254590958706</c:v>
                </c:pt>
                <c:pt idx="1">
                  <c:v>11.367331854333191</c:v>
                </c:pt>
                <c:pt idx="2">
                  <c:v>16.436409117707679</c:v>
                </c:pt>
                <c:pt idx="3">
                  <c:v>21.505486381082164</c:v>
                </c:pt>
                <c:pt idx="4">
                  <c:v>26.574563644456649</c:v>
                </c:pt>
                <c:pt idx="5">
                  <c:v>31.643640907831134</c:v>
                </c:pt>
                <c:pt idx="6">
                  <c:v>36.712718171205616</c:v>
                </c:pt>
                <c:pt idx="7">
                  <c:v>41.781795434580104</c:v>
                </c:pt>
                <c:pt idx="8">
                  <c:v>46.850872697954586</c:v>
                </c:pt>
                <c:pt idx="9">
                  <c:v>51.91994996132906</c:v>
                </c:pt>
                <c:pt idx="10">
                  <c:v>56.989027224703548</c:v>
                </c:pt>
                <c:pt idx="11">
                  <c:v>62.058104488078023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'Thermal Storage'!$X$4</c:f>
              <c:strCache>
                <c:ptCount val="1"/>
                <c:pt idx="0">
                  <c:v>Molten Salt</c:v>
                </c:pt>
              </c:strCache>
            </c:strRef>
          </c:tx>
          <c:spPr>
            <a:ln w="2540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'Thermal Storage'!$O$5:$O$16</c:f>
              <c:numCache>
                <c:formatCode>General</c:formatCode>
                <c:ptCount val="12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</c:numCache>
            </c:numRef>
          </c:xVal>
          <c:yVal>
            <c:numRef>
              <c:f>'Thermal Storage'!$X$5:$X$16</c:f>
              <c:numCache>
                <c:formatCode>0.00</c:formatCode>
                <c:ptCount val="12"/>
                <c:pt idx="0">
                  <c:v>11.239000784374344</c:v>
                </c:pt>
                <c:pt idx="1">
                  <c:v>21.248824241164467</c:v>
                </c:pt>
                <c:pt idx="2">
                  <c:v>31.25864769795459</c:v>
                </c:pt>
                <c:pt idx="3">
                  <c:v>41.268471154744709</c:v>
                </c:pt>
                <c:pt idx="4">
                  <c:v>51.278294611534825</c:v>
                </c:pt>
                <c:pt idx="5">
                  <c:v>61.288118068324962</c:v>
                </c:pt>
                <c:pt idx="6">
                  <c:v>71.297941525115078</c:v>
                </c:pt>
                <c:pt idx="7">
                  <c:v>81.307764981905194</c:v>
                </c:pt>
                <c:pt idx="8">
                  <c:v>91.317588438695324</c:v>
                </c:pt>
                <c:pt idx="9">
                  <c:v>101.32741189548547</c:v>
                </c:pt>
                <c:pt idx="10">
                  <c:v>111.33723535227557</c:v>
                </c:pt>
                <c:pt idx="11">
                  <c:v>121.34705880906569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734136"/>
        <c:axId val="340734528"/>
      </c:scatterChart>
      <c:scatterChart>
        <c:scatterStyle val="lineMarker"/>
        <c:varyColors val="0"/>
        <c:ser>
          <c:idx val="5"/>
          <c:order val="3"/>
          <c:tx>
            <c:strRef>
              <c:f>'Thermal Storage'!$U$4</c:f>
              <c:strCache>
                <c:ptCount val="1"/>
                <c:pt idx="0">
                  <c:v>Molten Salt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'Thermal Storage'!$O$5:$O$16</c:f>
              <c:numCache>
                <c:formatCode>General</c:formatCode>
                <c:ptCount val="12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</c:numCache>
            </c:numRef>
          </c:xVal>
          <c:yVal>
            <c:numRef>
              <c:f>'Thermal Storage'!$U$5:$U$16</c:f>
              <c:numCache>
                <c:formatCode>0</c:formatCode>
                <c:ptCount val="12"/>
                <c:pt idx="0">
                  <c:v>606.90604235621458</c:v>
                </c:pt>
                <c:pt idx="1">
                  <c:v>1147.4365090228812</c:v>
                </c:pt>
                <c:pt idx="2">
                  <c:v>1687.9669756895478</c:v>
                </c:pt>
                <c:pt idx="3">
                  <c:v>2228.4974423562144</c:v>
                </c:pt>
                <c:pt idx="4">
                  <c:v>2769.027909022881</c:v>
                </c:pt>
                <c:pt idx="5">
                  <c:v>3309.5583756895476</c:v>
                </c:pt>
                <c:pt idx="6">
                  <c:v>3850.0888423562137</c:v>
                </c:pt>
                <c:pt idx="7">
                  <c:v>4390.6193090228808</c:v>
                </c:pt>
                <c:pt idx="8">
                  <c:v>4931.1497756895478</c:v>
                </c:pt>
                <c:pt idx="9">
                  <c:v>5471.6802423562149</c:v>
                </c:pt>
                <c:pt idx="10">
                  <c:v>6012.210709022881</c:v>
                </c:pt>
                <c:pt idx="11">
                  <c:v>6552.7411756895472</c:v>
                </c:pt>
              </c:numCache>
            </c:numRef>
          </c:yVal>
          <c:smooth val="0"/>
        </c:ser>
        <c:ser>
          <c:idx val="3"/>
          <c:order val="4"/>
          <c:tx>
            <c:v>Target Energy</c:v>
          </c:tx>
          <c:spPr>
            <a:ln w="2222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'Thermal Storage'!$F$33:$F$40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'Thermal Storage'!$G$33:$G$40</c:f>
              <c:numCache>
                <c:formatCode>0</c:formatCode>
                <c:ptCount val="8"/>
                <c:pt idx="0">
                  <c:v>2784.3566650883454</c:v>
                </c:pt>
                <c:pt idx="1">
                  <c:v>2784.3566650883454</c:v>
                </c:pt>
                <c:pt idx="2">
                  <c:v>2784.3566650883454</c:v>
                </c:pt>
                <c:pt idx="3">
                  <c:v>2784.3566650883454</c:v>
                </c:pt>
                <c:pt idx="4">
                  <c:v>2784.3566650883454</c:v>
                </c:pt>
                <c:pt idx="5">
                  <c:v>2784.3566650883454</c:v>
                </c:pt>
                <c:pt idx="6">
                  <c:v>2784.3566650883454</c:v>
                </c:pt>
                <c:pt idx="7">
                  <c:v>2784.3566650883454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735312"/>
        <c:axId val="340734920"/>
      </c:scatterChart>
      <c:valAx>
        <c:axId val="340734136"/>
        <c:scaling>
          <c:orientation val="minMax"/>
          <c:max val="7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Weight [lbs]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0734528"/>
        <c:crosses val="autoZero"/>
        <c:crossBetween val="midCat"/>
        <c:minorUnit val="0.5"/>
      </c:valAx>
      <c:valAx>
        <c:axId val="340734528"/>
        <c:scaling>
          <c:orientation val="minMax"/>
          <c:max val="12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[mins]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0734136"/>
        <c:crosses val="autoZero"/>
        <c:crossBetween val="midCat"/>
        <c:majorUnit val="20"/>
        <c:minorUnit val="10"/>
      </c:valAx>
      <c:valAx>
        <c:axId val="340734920"/>
        <c:scaling>
          <c:orientation val="minMax"/>
          <c:max val="7000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Energy [kJ]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0735312"/>
        <c:crosses val="max"/>
        <c:crossBetween val="midCat"/>
      </c:valAx>
      <c:valAx>
        <c:axId val="340735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40734920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20884723765357552"/>
          <c:y val="9.1952627998633268E-2"/>
          <c:w val="0.24036884959932156"/>
          <c:h val="0.295568520216262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314325</xdr:colOff>
      <xdr:row>18</xdr:row>
      <xdr:rowOff>52389</xdr:rowOff>
    </xdr:from>
    <xdr:to>
      <xdr:col>22</xdr:col>
      <xdr:colOff>355188</xdr:colOff>
      <xdr:row>37</xdr:row>
      <xdr:rowOff>95249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tabSelected="1" zoomScale="70" zoomScaleNormal="70" workbookViewId="0">
      <selection activeCell="S17" sqref="S17"/>
    </sheetView>
  </sheetViews>
  <sheetFormatPr defaultRowHeight="15" x14ac:dyDescent="0.25"/>
  <cols>
    <col min="1" max="1" width="14" bestFit="1" customWidth="1"/>
    <col min="2" max="2" width="9.85546875" customWidth="1"/>
    <col min="6" max="6" width="12.7109375" customWidth="1"/>
    <col min="7" max="7" width="8.42578125" bestFit="1" customWidth="1"/>
    <col min="8" max="8" width="10.28515625" bestFit="1" customWidth="1"/>
    <col min="9" max="9" width="9" bestFit="1" customWidth="1"/>
    <col min="10" max="10" width="8" bestFit="1" customWidth="1"/>
    <col min="11" max="11" width="11.140625" bestFit="1" customWidth="1"/>
    <col min="12" max="12" width="6.5703125" bestFit="1" customWidth="1"/>
    <col min="15" max="15" width="9.85546875" bestFit="1" customWidth="1"/>
    <col min="16" max="16" width="17.42578125" bestFit="1" customWidth="1"/>
    <col min="17" max="17" width="12" bestFit="1" customWidth="1"/>
    <col min="19" max="19" width="12" bestFit="1" customWidth="1"/>
    <col min="20" max="20" width="7.5703125" bestFit="1" customWidth="1"/>
    <col min="21" max="21" width="11.140625" bestFit="1" customWidth="1"/>
  </cols>
  <sheetData>
    <row r="1" spans="1:24" ht="18.75" x14ac:dyDescent="0.3">
      <c r="A1" s="34" t="s">
        <v>0</v>
      </c>
      <c r="B1" s="34"/>
      <c r="C1" s="34"/>
      <c r="D1" s="34"/>
    </row>
    <row r="2" spans="1:24" ht="16.5" thickBot="1" x14ac:dyDescent="0.3">
      <c r="F2" s="15" t="s">
        <v>35</v>
      </c>
      <c r="G2" s="42" t="s">
        <v>38</v>
      </c>
      <c r="H2" s="42"/>
      <c r="I2" s="42"/>
      <c r="J2" s="42"/>
      <c r="K2" s="42"/>
      <c r="L2" s="42"/>
      <c r="O2" s="39" t="s">
        <v>54</v>
      </c>
      <c r="P2" s="39"/>
      <c r="Q2" s="39"/>
      <c r="R2" s="39"/>
      <c r="S2" s="39"/>
      <c r="T2" s="39"/>
      <c r="U2" s="39"/>
      <c r="V2" s="39"/>
      <c r="W2" s="39"/>
      <c r="X2" s="39"/>
    </row>
    <row r="3" spans="1:24" ht="15.75" thickBot="1" x14ac:dyDescent="0.3">
      <c r="A3" s="35" t="s">
        <v>1</v>
      </c>
      <c r="B3" s="36"/>
      <c r="C3" s="1" t="s">
        <v>40</v>
      </c>
      <c r="F3" s="12" t="s">
        <v>35</v>
      </c>
      <c r="G3" s="13" t="s">
        <v>21</v>
      </c>
      <c r="H3" s="13" t="s">
        <v>27</v>
      </c>
      <c r="I3" s="13" t="s">
        <v>19</v>
      </c>
      <c r="J3" s="13" t="s">
        <v>20</v>
      </c>
      <c r="K3" s="13" t="s">
        <v>32</v>
      </c>
      <c r="L3" s="13" t="s">
        <v>34</v>
      </c>
      <c r="P3" t="s">
        <v>56</v>
      </c>
      <c r="Q3" t="s">
        <v>49</v>
      </c>
      <c r="S3" s="41" t="s">
        <v>58</v>
      </c>
      <c r="T3" s="41"/>
      <c r="U3" s="41"/>
      <c r="V3" s="40" t="s">
        <v>49</v>
      </c>
      <c r="W3" s="40"/>
      <c r="X3" s="40"/>
    </row>
    <row r="4" spans="1:24" x14ac:dyDescent="0.25">
      <c r="F4" s="10" t="s">
        <v>31</v>
      </c>
      <c r="G4" s="11"/>
      <c r="H4" s="11"/>
      <c r="I4" s="11"/>
      <c r="J4" s="11"/>
      <c r="K4" s="11"/>
      <c r="L4" s="11"/>
      <c r="O4" t="s">
        <v>57</v>
      </c>
      <c r="P4" s="23" t="s">
        <v>51</v>
      </c>
      <c r="Q4" t="s">
        <v>21</v>
      </c>
      <c r="S4" t="s">
        <v>19</v>
      </c>
      <c r="T4" t="s">
        <v>20</v>
      </c>
      <c r="U4" t="s">
        <v>32</v>
      </c>
      <c r="V4" t="s">
        <v>19</v>
      </c>
      <c r="W4" t="s">
        <v>20</v>
      </c>
      <c r="X4" t="s">
        <v>32</v>
      </c>
    </row>
    <row r="5" spans="1:24" x14ac:dyDescent="0.25">
      <c r="A5" s="37" t="s">
        <v>2</v>
      </c>
      <c r="B5" s="37"/>
      <c r="F5" s="6" t="s">
        <v>11</v>
      </c>
      <c r="G5" s="7">
        <f t="shared" ref="G5:H5" si="0">G8*0.00220462</f>
        <v>2.2046199999999998</v>
      </c>
      <c r="H5" s="7">
        <f t="shared" si="0"/>
        <v>0.1064239430375936</v>
      </c>
      <c r="I5" s="7">
        <f>I8*0.00220462</f>
        <v>3.9683160000000002</v>
      </c>
      <c r="J5" s="7">
        <f t="shared" ref="J5:K5" si="1">J8*0.00220462</f>
        <v>3.9683160000000002</v>
      </c>
      <c r="K5" s="7">
        <f t="shared" si="1"/>
        <v>3.9683160000000002</v>
      </c>
      <c r="L5" s="6" t="s">
        <v>15</v>
      </c>
      <c r="O5">
        <v>0.5</v>
      </c>
      <c r="P5" s="26">
        <f t="shared" ref="P5:P16" si="2">(($O5*453.592)*cwater*70)+($G$21)</f>
        <v>69947.306148834527</v>
      </c>
      <c r="Q5" s="21">
        <f t="shared" ref="Q5:Q16" si="3">((O5*453.592)*cwater*70)/(100-$B$29)/60+($G$21/100/60)</f>
        <v>12.888840647768715</v>
      </c>
      <c r="S5" s="3">
        <f t="shared" ref="S5:S16" si="4">((($O5*453.592)*cconcrete*changeoft)+((malu)*calu*changeoft))/100</f>
        <v>371.29019791177018</v>
      </c>
      <c r="T5" s="3">
        <f t="shared" ref="T5:T16" si="5">((($O5*453.592)*cgranite*changeoft)+((malu)*calu*changeoft))/100</f>
        <v>340.10574791177015</v>
      </c>
      <c r="U5" s="3">
        <f t="shared" ref="U5:U16" si="6">((($O5*453.592)*cmoltensalt*changeoft)+((malu)*calu*changeoft))/100</f>
        <v>606.90604235621458</v>
      </c>
      <c r="V5" s="21">
        <f>S5/(100-$B$29)/60*100</f>
        <v>6.8757444057735224</v>
      </c>
      <c r="W5" s="21">
        <f>T5/(100-$B$29)/60*100</f>
        <v>6.298254590958706</v>
      </c>
      <c r="X5" s="21">
        <f>U5/(100-$B$29)/60*100</f>
        <v>11.239000784374344</v>
      </c>
    </row>
    <row r="6" spans="1:24" x14ac:dyDescent="0.25">
      <c r="A6" s="28" t="s">
        <v>3</v>
      </c>
      <c r="B6" s="28"/>
      <c r="F6" s="6" t="s">
        <v>13</v>
      </c>
      <c r="G6" s="7">
        <f>G9/(1.6387*10^-5)</f>
        <v>61.02398242509306</v>
      </c>
      <c r="H6" s="7">
        <f>volume1</f>
        <v>10.910400390625</v>
      </c>
      <c r="I6" s="7">
        <f>I9/(1.6387*10^-5)</f>
        <v>45.76226653550286</v>
      </c>
      <c r="J6" s="7">
        <f t="shared" ref="J6:K6" si="7">J9/(1.6387*10^-5)</f>
        <v>40.682654950062037</v>
      </c>
      <c r="K6" s="7">
        <f t="shared" si="7"/>
        <v>65.382838312599702</v>
      </c>
      <c r="L6" s="6" t="s">
        <v>18</v>
      </c>
      <c r="M6" s="3"/>
      <c r="O6">
        <v>1</v>
      </c>
      <c r="P6" s="26">
        <f t="shared" si="2"/>
        <v>136418.94578883454</v>
      </c>
      <c r="Q6" s="21">
        <f t="shared" si="3"/>
        <v>25.198403544065012</v>
      </c>
      <c r="S6" s="3">
        <f t="shared" si="4"/>
        <v>676.20482013399237</v>
      </c>
      <c r="T6" s="3">
        <f t="shared" si="5"/>
        <v>613.83592013399232</v>
      </c>
      <c r="U6" s="3">
        <f t="shared" si="6"/>
        <v>1147.4365090228812</v>
      </c>
      <c r="V6" s="21">
        <f t="shared" ref="V6:V16" si="8">S6/(100-$B$29)/60*100</f>
        <v>12.522311483962822</v>
      </c>
      <c r="W6" s="21">
        <f t="shared" ref="W6:W16" si="9">T6/(100-$B$29)/60*100</f>
        <v>11.367331854333191</v>
      </c>
      <c r="X6" s="21">
        <f t="shared" ref="X6:X16" si="10">U6/(100-$B$29)/60*100</f>
        <v>21.248824241164467</v>
      </c>
    </row>
    <row r="7" spans="1:24" x14ac:dyDescent="0.25">
      <c r="A7" s="28" t="s">
        <v>4</v>
      </c>
      <c r="B7" s="28"/>
      <c r="F7" s="10" t="s">
        <v>30</v>
      </c>
      <c r="G7" s="11"/>
      <c r="H7" s="11"/>
      <c r="I7" s="11"/>
      <c r="J7" s="11"/>
      <c r="K7" s="11"/>
      <c r="L7" s="11"/>
      <c r="O7">
        <v>1.5</v>
      </c>
      <c r="P7" s="26">
        <f t="shared" si="2"/>
        <v>202890.58542883451</v>
      </c>
      <c r="Q7" s="21">
        <f t="shared" si="3"/>
        <v>37.507966440361308</v>
      </c>
      <c r="S7" s="3">
        <f t="shared" si="4"/>
        <v>981.11944235621445</v>
      </c>
      <c r="T7" s="3">
        <f t="shared" si="5"/>
        <v>887.56609235621454</v>
      </c>
      <c r="U7" s="3">
        <f t="shared" si="6"/>
        <v>1687.9669756895478</v>
      </c>
      <c r="V7" s="21">
        <f t="shared" si="8"/>
        <v>18.16887856215212</v>
      </c>
      <c r="W7" s="21">
        <f t="shared" si="9"/>
        <v>16.436409117707679</v>
      </c>
      <c r="X7" s="21">
        <f t="shared" si="10"/>
        <v>31.25864769795459</v>
      </c>
    </row>
    <row r="8" spans="1:24" x14ac:dyDescent="0.25">
      <c r="A8" s="28" t="s">
        <v>5</v>
      </c>
      <c r="B8" s="28"/>
      <c r="F8" s="6" t="s">
        <v>11</v>
      </c>
      <c r="G8" s="6">
        <v>1000</v>
      </c>
      <c r="H8" s="27">
        <f>H10*volume</f>
        <v>48.273145956034874</v>
      </c>
      <c r="I8" s="6">
        <v>1800</v>
      </c>
      <c r="J8" s="6">
        <v>1800</v>
      </c>
      <c r="K8" s="6">
        <v>1800</v>
      </c>
      <c r="L8" s="6" t="s">
        <v>14</v>
      </c>
      <c r="O8">
        <v>2</v>
      </c>
      <c r="P8" s="26">
        <f t="shared" si="2"/>
        <v>269362.22506883455</v>
      </c>
      <c r="Q8" s="21">
        <f t="shared" si="3"/>
        <v>49.817529336657607</v>
      </c>
      <c r="S8" s="3">
        <f t="shared" si="4"/>
        <v>1286.0340645784368</v>
      </c>
      <c r="T8" s="3">
        <f t="shared" si="5"/>
        <v>1161.2962645784369</v>
      </c>
      <c r="U8" s="3">
        <f t="shared" si="6"/>
        <v>2228.4974423562144</v>
      </c>
      <c r="V8" s="21">
        <f t="shared" si="8"/>
        <v>23.815445640341423</v>
      </c>
      <c r="W8" s="21">
        <f t="shared" si="9"/>
        <v>21.505486381082164</v>
      </c>
      <c r="X8" s="21">
        <f t="shared" si="10"/>
        <v>41.268471154744709</v>
      </c>
    </row>
    <row r="9" spans="1:24" x14ac:dyDescent="0.25">
      <c r="F9" s="6" t="s">
        <v>29</v>
      </c>
      <c r="G9" s="8">
        <f>G8/G10</f>
        <v>1E-3</v>
      </c>
      <c r="H9" s="8">
        <f>volume</f>
        <v>1.7878942946679584E-4</v>
      </c>
      <c r="I9" s="8">
        <f>I8/I10</f>
        <v>7.4990626171728538E-4</v>
      </c>
      <c r="J9" s="8">
        <f t="shared" ref="J9:K9" si="11">J8/J10</f>
        <v>6.6666666666666664E-4</v>
      </c>
      <c r="K9" s="8">
        <f t="shared" si="11"/>
        <v>1.0714285714285715E-3</v>
      </c>
      <c r="L9" s="6" t="s">
        <v>17</v>
      </c>
      <c r="O9">
        <v>2.5</v>
      </c>
      <c r="P9" s="26">
        <f t="shared" si="2"/>
        <v>335833.8647088345</v>
      </c>
      <c r="Q9" s="21">
        <f t="shared" si="3"/>
        <v>62.127092232953899</v>
      </c>
      <c r="S9" s="3">
        <f t="shared" si="4"/>
        <v>1590.9486868006591</v>
      </c>
      <c r="T9" s="3">
        <f t="shared" si="5"/>
        <v>1435.026436800659</v>
      </c>
      <c r="U9" s="3">
        <f t="shared" si="6"/>
        <v>2769.027909022881</v>
      </c>
      <c r="V9" s="21">
        <f t="shared" si="8"/>
        <v>29.462012718530723</v>
      </c>
      <c r="W9" s="21">
        <f t="shared" si="9"/>
        <v>26.574563644456649</v>
      </c>
      <c r="X9" s="21">
        <f t="shared" si="10"/>
        <v>51.278294611534825</v>
      </c>
    </row>
    <row r="10" spans="1:24" x14ac:dyDescent="0.25">
      <c r="A10" s="2"/>
      <c r="B10" s="2" t="s">
        <v>8</v>
      </c>
      <c r="C10" s="2" t="s">
        <v>9</v>
      </c>
      <c r="F10" s="6" t="s">
        <v>12</v>
      </c>
      <c r="G10" s="6">
        <v>1000000</v>
      </c>
      <c r="H10" s="6">
        <v>270000</v>
      </c>
      <c r="I10" s="9">
        <v>2400300</v>
      </c>
      <c r="J10" s="9">
        <v>2700000</v>
      </c>
      <c r="K10" s="9">
        <v>1680000</v>
      </c>
      <c r="L10" s="6" t="s">
        <v>16</v>
      </c>
      <c r="O10">
        <v>3</v>
      </c>
      <c r="P10" s="26">
        <f t="shared" si="2"/>
        <v>402305.50434883451</v>
      </c>
      <c r="Q10" s="21">
        <f t="shared" si="3"/>
        <v>74.436655129250198</v>
      </c>
      <c r="S10" s="3">
        <f t="shared" si="4"/>
        <v>1895.8633090228809</v>
      </c>
      <c r="T10" s="3">
        <f t="shared" si="5"/>
        <v>1708.7566090228811</v>
      </c>
      <c r="U10" s="3">
        <f t="shared" si="6"/>
        <v>3309.5583756895476</v>
      </c>
      <c r="V10" s="21">
        <f t="shared" si="8"/>
        <v>35.108579796720022</v>
      </c>
      <c r="W10" s="21">
        <f t="shared" si="9"/>
        <v>31.643640907831134</v>
      </c>
      <c r="X10" s="21">
        <f t="shared" si="10"/>
        <v>61.288118068324962</v>
      </c>
    </row>
    <row r="11" spans="1:24" x14ac:dyDescent="0.25">
      <c r="A11" s="2" t="s">
        <v>7</v>
      </c>
      <c r="B11" s="2">
        <v>75</v>
      </c>
      <c r="C11" s="2">
        <f>(B11-32)*5/9</f>
        <v>23.888888888888889</v>
      </c>
      <c r="F11" s="6" t="s">
        <v>39</v>
      </c>
      <c r="G11" s="2">
        <f>4.187</f>
        <v>4.1870000000000003</v>
      </c>
      <c r="H11" s="2">
        <v>0.9</v>
      </c>
      <c r="I11" s="2">
        <v>0.88</v>
      </c>
      <c r="J11" s="2">
        <v>0.79</v>
      </c>
      <c r="K11" s="2">
        <v>1.56</v>
      </c>
      <c r="L11" s="2"/>
      <c r="O11">
        <v>3.5</v>
      </c>
      <c r="P11" s="26">
        <f t="shared" si="2"/>
        <v>468777.14398883452</v>
      </c>
      <c r="Q11" s="21">
        <f t="shared" si="3"/>
        <v>86.746218025546483</v>
      </c>
      <c r="S11" s="3">
        <f t="shared" si="4"/>
        <v>2200.7779312451034</v>
      </c>
      <c r="T11" s="3">
        <f t="shared" si="5"/>
        <v>1982.4867812451034</v>
      </c>
      <c r="U11" s="3">
        <f t="shared" si="6"/>
        <v>3850.0888423562137</v>
      </c>
      <c r="V11" s="21">
        <f t="shared" si="8"/>
        <v>40.755146874909329</v>
      </c>
      <c r="W11" s="21">
        <f t="shared" si="9"/>
        <v>36.712718171205616</v>
      </c>
      <c r="X11" s="21">
        <f t="shared" si="10"/>
        <v>71.297941525115078</v>
      </c>
    </row>
    <row r="12" spans="1:24" x14ac:dyDescent="0.25">
      <c r="A12" s="2" t="s">
        <v>6</v>
      </c>
      <c r="B12" s="2">
        <v>350</v>
      </c>
      <c r="C12" s="2">
        <f>(B12-32)*5/9</f>
        <v>176.66666666666666</v>
      </c>
      <c r="O12">
        <v>4</v>
      </c>
      <c r="P12" s="26">
        <f t="shared" si="2"/>
        <v>535248.78362883453</v>
      </c>
      <c r="Q12" s="21">
        <f t="shared" si="3"/>
        <v>99.055780921842796</v>
      </c>
      <c r="S12" s="3">
        <f t="shared" si="4"/>
        <v>2505.6925534673255</v>
      </c>
      <c r="T12" s="3">
        <f t="shared" si="5"/>
        <v>2256.2169534673258</v>
      </c>
      <c r="U12" s="3">
        <f t="shared" si="6"/>
        <v>4390.6193090228808</v>
      </c>
      <c r="V12" s="21">
        <f t="shared" si="8"/>
        <v>46.401713953098621</v>
      </c>
      <c r="W12" s="21">
        <f t="shared" si="9"/>
        <v>41.781795434580104</v>
      </c>
      <c r="X12" s="21">
        <f t="shared" si="10"/>
        <v>81.307764981905194</v>
      </c>
    </row>
    <row r="13" spans="1:24" ht="15.75" x14ac:dyDescent="0.25">
      <c r="A13" s="2" t="s">
        <v>10</v>
      </c>
      <c r="B13" s="2">
        <f>B12-B11</f>
        <v>275</v>
      </c>
      <c r="C13" s="2">
        <f>C12-C11</f>
        <v>152.77777777777777</v>
      </c>
      <c r="F13" s="43" t="s">
        <v>43</v>
      </c>
      <c r="G13" s="43"/>
      <c r="H13" s="43"/>
      <c r="I13" s="43"/>
      <c r="J13" s="43"/>
      <c r="K13" s="43"/>
      <c r="L13" s="43"/>
      <c r="O13">
        <v>4.5</v>
      </c>
      <c r="P13" s="26">
        <f t="shared" si="2"/>
        <v>601720.42326883448</v>
      </c>
      <c r="Q13" s="21">
        <f t="shared" si="3"/>
        <v>111.3653438181391</v>
      </c>
      <c r="S13" s="3">
        <f t="shared" si="4"/>
        <v>2810.6071756895476</v>
      </c>
      <c r="T13" s="3">
        <f t="shared" si="5"/>
        <v>2529.9471256895476</v>
      </c>
      <c r="U13" s="3">
        <f t="shared" si="6"/>
        <v>4931.1497756895478</v>
      </c>
      <c r="V13" s="21">
        <f t="shared" si="8"/>
        <v>52.048281031287914</v>
      </c>
      <c r="W13" s="21">
        <f t="shared" si="9"/>
        <v>46.850872697954586</v>
      </c>
      <c r="X13" s="21">
        <f t="shared" si="10"/>
        <v>91.317588438695324</v>
      </c>
    </row>
    <row r="14" spans="1:24" x14ac:dyDescent="0.25">
      <c r="F14" s="14" t="s">
        <v>48</v>
      </c>
      <c r="G14" s="14"/>
      <c r="H14" s="14"/>
      <c r="I14" s="14"/>
      <c r="J14" s="14"/>
      <c r="K14" s="14"/>
      <c r="L14" s="14"/>
      <c r="M14" s="20"/>
      <c r="O14">
        <v>5</v>
      </c>
      <c r="P14" s="26">
        <f t="shared" si="2"/>
        <v>668192.06290883443</v>
      </c>
      <c r="Q14" s="21">
        <f t="shared" si="3"/>
        <v>123.67490671443538</v>
      </c>
      <c r="S14" s="3">
        <f t="shared" si="4"/>
        <v>3115.5217979117697</v>
      </c>
      <c r="T14" s="3">
        <f t="shared" si="5"/>
        <v>2803.6772979117695</v>
      </c>
      <c r="U14" s="3">
        <f t="shared" si="6"/>
        <v>5471.6802423562149</v>
      </c>
      <c r="V14" s="21">
        <f t="shared" si="8"/>
        <v>57.694848109477213</v>
      </c>
      <c r="W14" s="21">
        <f t="shared" si="9"/>
        <v>51.91994996132906</v>
      </c>
      <c r="X14" s="21">
        <f t="shared" si="10"/>
        <v>101.32741189548547</v>
      </c>
    </row>
    <row r="15" spans="1:24" x14ac:dyDescent="0.25">
      <c r="A15" s="33" t="s">
        <v>33</v>
      </c>
      <c r="B15" s="33"/>
      <c r="C15" s="33"/>
      <c r="F15" s="29" t="s">
        <v>36</v>
      </c>
      <c r="G15" s="29"/>
      <c r="H15" s="29"/>
      <c r="I15" s="29"/>
      <c r="J15" s="29"/>
      <c r="K15" s="29"/>
      <c r="L15" s="29"/>
      <c r="O15">
        <v>5.5</v>
      </c>
      <c r="P15" s="26">
        <f t="shared" si="2"/>
        <v>734663.7025488345</v>
      </c>
      <c r="Q15" s="21">
        <f t="shared" si="3"/>
        <v>135.98446961073168</v>
      </c>
      <c r="S15" s="3">
        <f t="shared" si="4"/>
        <v>3420.4364201339922</v>
      </c>
      <c r="T15" s="3">
        <f t="shared" si="5"/>
        <v>3077.4074701339919</v>
      </c>
      <c r="U15" s="3">
        <f t="shared" si="6"/>
        <v>6012.210709022881</v>
      </c>
      <c r="V15" s="21">
        <f t="shared" si="8"/>
        <v>63.341415187666527</v>
      </c>
      <c r="W15" s="21">
        <f t="shared" si="9"/>
        <v>56.989027224703548</v>
      </c>
      <c r="X15" s="21">
        <f t="shared" si="10"/>
        <v>111.33723535227557</v>
      </c>
    </row>
    <row r="16" spans="1:24" x14ac:dyDescent="0.25">
      <c r="A16" s="4"/>
      <c r="B16" s="4" t="s">
        <v>25</v>
      </c>
      <c r="C16" s="4" t="s">
        <v>26</v>
      </c>
      <c r="F16" s="29" t="s">
        <v>37</v>
      </c>
      <c r="G16" s="29"/>
      <c r="H16" s="29"/>
      <c r="I16" s="29"/>
      <c r="J16" s="29"/>
      <c r="K16" s="29"/>
      <c r="L16" s="29"/>
      <c r="O16">
        <v>6</v>
      </c>
      <c r="P16" s="26">
        <f t="shared" si="2"/>
        <v>801135.34218883445</v>
      </c>
      <c r="Q16" s="21">
        <f t="shared" si="3"/>
        <v>148.29403250702799</v>
      </c>
      <c r="S16" s="3">
        <f t="shared" si="4"/>
        <v>3725.3510423562134</v>
      </c>
      <c r="T16" s="3">
        <f t="shared" si="5"/>
        <v>3351.1376423562137</v>
      </c>
      <c r="U16" s="3">
        <f t="shared" si="6"/>
        <v>6552.7411756895472</v>
      </c>
      <c r="V16" s="21">
        <f t="shared" si="8"/>
        <v>68.987982265855791</v>
      </c>
      <c r="W16" s="21">
        <f t="shared" si="9"/>
        <v>62.058104488078023</v>
      </c>
      <c r="X16" s="21">
        <f t="shared" si="10"/>
        <v>121.34705880906569</v>
      </c>
    </row>
    <row r="17" spans="1:11" x14ac:dyDescent="0.25">
      <c r="A17" s="2" t="s">
        <v>22</v>
      </c>
      <c r="B17" s="2">
        <v>7</v>
      </c>
      <c r="C17" s="2">
        <f>B17*0.0254</f>
        <v>0.17779999999999999</v>
      </c>
    </row>
    <row r="18" spans="1:11" ht="15.75" x14ac:dyDescent="0.25">
      <c r="A18" s="2" t="s">
        <v>23</v>
      </c>
      <c r="B18" s="2">
        <v>8</v>
      </c>
      <c r="C18" s="2">
        <f>B18*0.0254</f>
        <v>0.20319999999999999</v>
      </c>
      <c r="F18" s="31" t="s">
        <v>41</v>
      </c>
      <c r="G18" s="32"/>
    </row>
    <row r="19" spans="1:11" x14ac:dyDescent="0.25">
      <c r="A19" s="2" t="s">
        <v>28</v>
      </c>
      <c r="B19" s="2">
        <v>8</v>
      </c>
      <c r="C19" s="2">
        <f>B19*0.0254</f>
        <v>0.20319999999999999</v>
      </c>
      <c r="F19" s="16" t="s">
        <v>35</v>
      </c>
      <c r="G19" s="2" t="s">
        <v>46</v>
      </c>
    </row>
    <row r="20" spans="1:11" x14ac:dyDescent="0.25">
      <c r="A20" s="2" t="s">
        <v>24</v>
      </c>
      <c r="B20" s="2">
        <f>1/16</f>
        <v>6.25E-2</v>
      </c>
      <c r="C20" s="2">
        <f>B20*0.0254</f>
        <v>1.5874999999999999E-3</v>
      </c>
      <c r="F20" s="2" t="s">
        <v>21</v>
      </c>
      <c r="G20" s="2">
        <f>mwater*cwater*80</f>
        <v>334960</v>
      </c>
    </row>
    <row r="21" spans="1:11" ht="15.75" thickBot="1" x14ac:dyDescent="0.3">
      <c r="F21" s="2" t="s">
        <v>27</v>
      </c>
      <c r="G21" s="18">
        <f>malu*calu*80</f>
        <v>3475.6665088345108</v>
      </c>
    </row>
    <row r="22" spans="1:11" ht="15.75" thickBot="1" x14ac:dyDescent="0.3">
      <c r="A22" s="28" t="s">
        <v>13</v>
      </c>
      <c r="B22" s="28"/>
      <c r="F22" s="17" t="s">
        <v>47</v>
      </c>
      <c r="G22" s="19">
        <f>G20+G21</f>
        <v>338435.66650883452</v>
      </c>
    </row>
    <row r="23" spans="1:11" x14ac:dyDescent="0.25">
      <c r="A23" s="2" t="s">
        <v>18</v>
      </c>
      <c r="B23" s="2" t="s">
        <v>17</v>
      </c>
      <c r="F23" s="5"/>
    </row>
    <row r="24" spans="1:11" ht="15.75" x14ac:dyDescent="0.25">
      <c r="A24" s="2">
        <f>(length1*width1*height1)-((length1-thickness1)*(width1-thickness1)*(height1-thickness1))</f>
        <v>10.910400390625</v>
      </c>
      <c r="B24" s="2">
        <f>(length*width*height)-((length-thickness)*(width-thickness)*(height-thickness))</f>
        <v>1.7878942946679584E-4</v>
      </c>
      <c r="F24" s="30" t="s">
        <v>42</v>
      </c>
      <c r="G24" s="30"/>
      <c r="H24" s="30"/>
      <c r="I24" s="30"/>
    </row>
    <row r="25" spans="1:11" x14ac:dyDescent="0.25">
      <c r="F25" s="29" t="s">
        <v>44</v>
      </c>
      <c r="G25" s="29"/>
      <c r="H25" s="29"/>
      <c r="I25" s="29"/>
    </row>
    <row r="26" spans="1:11" x14ac:dyDescent="0.25">
      <c r="A26" s="28" t="s">
        <v>50</v>
      </c>
      <c r="B26" s="28"/>
      <c r="F26" s="29" t="s">
        <v>45</v>
      </c>
      <c r="G26" s="29"/>
      <c r="H26" s="29"/>
      <c r="I26" s="29"/>
    </row>
    <row r="27" spans="1:11" x14ac:dyDescent="0.25">
      <c r="A27" s="6">
        <f>100*60*10</f>
        <v>60000</v>
      </c>
      <c r="B27" s="6" t="s">
        <v>51</v>
      </c>
      <c r="F27" s="22" t="s">
        <v>52</v>
      </c>
    </row>
    <row r="28" spans="1:11" x14ac:dyDescent="0.25">
      <c r="F28" s="38" t="s">
        <v>53</v>
      </c>
      <c r="G28" s="38"/>
      <c r="H28" s="38"/>
      <c r="I28" s="38"/>
      <c r="J28" s="38"/>
      <c r="K28" s="38"/>
    </row>
    <row r="29" spans="1:11" x14ac:dyDescent="0.25">
      <c r="A29" t="s">
        <v>55</v>
      </c>
      <c r="B29">
        <v>10</v>
      </c>
      <c r="F29" s="24">
        <f>G22-A27</f>
        <v>278435.66650883452</v>
      </c>
      <c r="G29" s="25" t="s">
        <v>51</v>
      </c>
    </row>
    <row r="32" spans="1:11" x14ac:dyDescent="0.25">
      <c r="F32" t="s">
        <v>41</v>
      </c>
    </row>
    <row r="33" spans="6:7" x14ac:dyDescent="0.25">
      <c r="F33">
        <v>0</v>
      </c>
      <c r="G33" s="3">
        <f>$F$29/100</f>
        <v>2784.3566650883454</v>
      </c>
    </row>
    <row r="34" spans="6:7" x14ac:dyDescent="0.25">
      <c r="F34">
        <v>1</v>
      </c>
      <c r="G34" s="3">
        <f t="shared" ref="G34:G40" si="12">$F$29/100</f>
        <v>2784.3566650883454</v>
      </c>
    </row>
    <row r="35" spans="6:7" x14ac:dyDescent="0.25">
      <c r="F35">
        <v>2</v>
      </c>
      <c r="G35" s="3">
        <f t="shared" si="12"/>
        <v>2784.3566650883454</v>
      </c>
    </row>
    <row r="36" spans="6:7" x14ac:dyDescent="0.25">
      <c r="F36">
        <v>3</v>
      </c>
      <c r="G36" s="3">
        <f t="shared" si="12"/>
        <v>2784.3566650883454</v>
      </c>
    </row>
    <row r="37" spans="6:7" x14ac:dyDescent="0.25">
      <c r="F37">
        <v>4</v>
      </c>
      <c r="G37" s="3">
        <f t="shared" si="12"/>
        <v>2784.3566650883454</v>
      </c>
    </row>
    <row r="38" spans="6:7" x14ac:dyDescent="0.25">
      <c r="F38">
        <v>5</v>
      </c>
      <c r="G38" s="3">
        <f t="shared" si="12"/>
        <v>2784.3566650883454</v>
      </c>
    </row>
    <row r="39" spans="6:7" x14ac:dyDescent="0.25">
      <c r="F39">
        <v>6</v>
      </c>
      <c r="G39" s="3">
        <f t="shared" si="12"/>
        <v>2784.3566650883454</v>
      </c>
    </row>
    <row r="40" spans="6:7" x14ac:dyDescent="0.25">
      <c r="F40">
        <v>7</v>
      </c>
      <c r="G40" s="3">
        <f t="shared" si="12"/>
        <v>2784.3566650883454</v>
      </c>
    </row>
  </sheetData>
  <mergeCells count="21">
    <mergeCell ref="F28:K28"/>
    <mergeCell ref="O2:X2"/>
    <mergeCell ref="V3:X3"/>
    <mergeCell ref="S3:U3"/>
    <mergeCell ref="G2:L2"/>
    <mergeCell ref="F13:L13"/>
    <mergeCell ref="F15:L15"/>
    <mergeCell ref="F16:L16"/>
    <mergeCell ref="A1:D1"/>
    <mergeCell ref="A3:B3"/>
    <mergeCell ref="A5:B5"/>
    <mergeCell ref="A6:B6"/>
    <mergeCell ref="A7:B7"/>
    <mergeCell ref="A8:B8"/>
    <mergeCell ref="F25:I25"/>
    <mergeCell ref="F26:I26"/>
    <mergeCell ref="F24:I24"/>
    <mergeCell ref="F18:G18"/>
    <mergeCell ref="A15:C15"/>
    <mergeCell ref="A22:B22"/>
    <mergeCell ref="A26:B26"/>
  </mergeCells>
  <pageMargins left="0.7" right="0.7" top="0.75" bottom="0.75" header="0.3" footer="0.3"/>
  <pageSetup orientation="portrait" r:id="rId1"/>
  <ignoredErrors>
    <ignoredError sqref="H9 H6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20</vt:i4>
      </vt:variant>
    </vt:vector>
  </HeadingPairs>
  <TitlesOfParts>
    <vt:vector size="21" baseType="lpstr">
      <vt:lpstr>Thermal Storage</vt:lpstr>
      <vt:lpstr>calu</vt:lpstr>
      <vt:lpstr>ccconcrete</vt:lpstr>
      <vt:lpstr>cconcrete</vt:lpstr>
      <vt:lpstr>cgranite</vt:lpstr>
      <vt:lpstr>changeoft</vt:lpstr>
      <vt:lpstr>cmoltensalt</vt:lpstr>
      <vt:lpstr>cwater</vt:lpstr>
      <vt:lpstr>height</vt:lpstr>
      <vt:lpstr>height1</vt:lpstr>
      <vt:lpstr>lenght1</vt:lpstr>
      <vt:lpstr>length</vt:lpstr>
      <vt:lpstr>length1</vt:lpstr>
      <vt:lpstr>malu</vt:lpstr>
      <vt:lpstr>mwater</vt:lpstr>
      <vt:lpstr>thickness</vt:lpstr>
      <vt:lpstr>thickness1</vt:lpstr>
      <vt:lpstr>volume</vt:lpstr>
      <vt:lpstr>volume1</vt:lpstr>
      <vt:lpstr>width</vt:lpstr>
      <vt:lpstr>width1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melab15</dc:creator>
  <cp:lastModifiedBy>melab15</cp:lastModifiedBy>
  <dcterms:created xsi:type="dcterms:W3CDTF">2016-04-05T20:05:05Z</dcterms:created>
  <dcterms:modified xsi:type="dcterms:W3CDTF">2016-05-12T17:22:10Z</dcterms:modified>
</cp:coreProperties>
</file>